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<sst xmlns="http://schemas.openxmlformats.org/spreadsheetml/2006/main" count="59" uniqueCount="56">
  <si>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mm BTU</t>
  </si>
  <si>
    <t>% S</t>
  </si>
  <si>
    <t>lb/mmBTU</t>
  </si>
  <si>
    <t>mmBTU/ ton</t>
  </si>
  <si>
    <t xml:space="preserve">BTU/ lb  </t>
  </si>
  <si>
    <t>AP-42 Table 1.1-5</t>
  </si>
  <si>
    <t>firing code</t>
  </si>
  <si>
    <t>Calculator Firing Code</t>
  </si>
  <si>
    <t xml:space="preserve">stokers, with or without controls  </t>
  </si>
  <si>
    <t>Effective</t>
  </si>
  <si>
    <t>PC-fired, dry bottom, wall or tangential</t>
  </si>
  <si>
    <t>PC-fired, wet bottom</t>
  </si>
  <si>
    <t>cyclone furnace</t>
  </si>
  <si>
    <t>spreader stoker</t>
  </si>
  <si>
    <t>spreader stoker w/ mult cyclones and reinject</t>
  </si>
  <si>
    <t>spreader stoker w/ mult cyclones and NO reinject</t>
  </si>
  <si>
    <t>overfeed stoker</t>
  </si>
  <si>
    <t>overfeed stoker w/ mult cyclones</t>
  </si>
  <si>
    <t>underfeed stoker</t>
  </si>
  <si>
    <t>underfeed stoker w/ mult cyclones</t>
  </si>
  <si>
    <t>handfed</t>
  </si>
  <si>
    <t>Filt PM (lbs)</t>
  </si>
  <si>
    <t>Configuration</t>
  </si>
  <si>
    <t>Code</t>
  </si>
  <si>
    <t>FBC, bubbling or circulating bed</t>
  </si>
  <si>
    <t>cond PM (TPY)</t>
  </si>
  <si>
    <t>10A</t>
  </si>
  <si>
    <t>7A</t>
  </si>
  <si>
    <t>2A</t>
  </si>
  <si>
    <t>AP-42 Table 1.1-4</t>
  </si>
  <si>
    <t>Y</t>
  </si>
  <si>
    <t>Filt PM EF (lb/ ton)</t>
  </si>
  <si>
    <t>Coal (tons)</t>
  </si>
  <si>
    <t>Eff %</t>
  </si>
  <si>
    <t>Controls</t>
  </si>
  <si>
    <t>Filt PT</t>
  </si>
  <si>
    <t>Filt %</t>
  </si>
  <si>
    <r>
      <t>Firing Configuration</t>
    </r>
    <r>
      <rPr>
        <sz val="10"/>
        <rFont val="Times New Roman"/>
        <family val="1"/>
      </rPr>
      <t xml:space="preserve">  </t>
    </r>
  </si>
  <si>
    <r>
      <t xml:space="preserve">pulverized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FGD controls  </t>
    </r>
  </si>
  <si>
    <r>
      <t xml:space="preserve">pulverized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FGD controls  </t>
    </r>
  </si>
  <si>
    <t>Filt PM (TPY)</t>
  </si>
  <si>
    <t>(uncontrolled)</t>
  </si>
  <si>
    <t>(Y or N?)</t>
  </si>
  <si>
    <t>Inputs (yellow)</t>
  </si>
  <si>
    <t>Ash Content</t>
  </si>
  <si>
    <t>configure code</t>
  </si>
  <si>
    <t xml:space="preserve">Year of Inventory  </t>
  </si>
  <si>
    <t xml:space="preserve">Unit (Blr 1, Htr 2, etc.)  </t>
  </si>
  <si>
    <t xml:space="preserve">Facility  </t>
  </si>
  <si>
    <t xml:space="preserve">Permit No.  </t>
  </si>
  <si>
    <t>PM-FIL</t>
  </si>
  <si>
    <t>PM10-FIL</t>
  </si>
  <si>
    <t>PM25-FIL</t>
  </si>
  <si>
    <t>PM-CON</t>
  </si>
  <si>
    <t>tons</t>
  </si>
  <si>
    <t>Outputs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</si>
</sst>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409]dddd\,\ mmmm\ dd\,\ yyyy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theme="7"/>
      </left>
      <right style="double">
        <color theme="7"/>
      </right>
      <top style="double">
        <color theme="7"/>
      </top>
      <bottom style="double">
        <color theme="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5" fillId="33" borderId="1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8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4" fontId="5" fillId="33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164" fontId="5" fillId="34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0" xfId="0" applyFont="1" applyFill="1" applyAlignment="1">
      <alignment/>
    </xf>
    <xf numFmtId="164" fontId="5" fillId="35" borderId="0" xfId="0" applyNumberFormat="1" applyFont="1" applyFill="1" applyAlignment="1">
      <alignment/>
    </xf>
    <xf numFmtId="164" fontId="4" fillId="3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5" fillId="34" borderId="18" xfId="0" applyNumberFormat="1" applyFont="1" applyFill="1" applyBorder="1" applyAlignment="1">
      <alignment horizontal="center"/>
    </xf>
    <xf numFmtId="164" fontId="5" fillId="34" borderId="19" xfId="0" applyNumberFormat="1" applyFont="1" applyFill="1" applyBorder="1" applyAlignment="1">
      <alignment horizontal="center"/>
    </xf>
    <xf numFmtId="164" fontId="5" fillId="34" borderId="20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164" fontId="4" fillId="35" borderId="21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164" fontId="0" fillId="36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31</xdr:row>
      <xdr:rowOff>57150</xdr:rowOff>
    </xdr:from>
    <xdr:to>
      <xdr:col>8</xdr:col>
      <xdr:colOff>238125</xdr:colOff>
      <xdr:row>32</xdr:row>
      <xdr:rowOff>123825</xdr:rowOff>
    </xdr:to>
    <xdr:sp>
      <xdr:nvSpPr>
        <xdr:cNvPr id="1" name="Line 2"/>
        <xdr:cNvSpPr>
          <a:spLocks/>
        </xdr:cNvSpPr>
      </xdr:nvSpPr>
      <xdr:spPr>
        <a:xfrm flipH="1" flipV="1">
          <a:off x="3133725" y="5076825"/>
          <a:ext cx="1495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142875</xdr:rowOff>
    </xdr:from>
    <xdr:to>
      <xdr:col>7</xdr:col>
      <xdr:colOff>190500</xdr:colOff>
      <xdr:row>20</xdr:row>
      <xdr:rowOff>38100</xdr:rowOff>
    </xdr:to>
    <xdr:sp>
      <xdr:nvSpPr>
        <xdr:cNvPr id="2" name="Line 3"/>
        <xdr:cNvSpPr>
          <a:spLocks/>
        </xdr:cNvSpPr>
      </xdr:nvSpPr>
      <xdr:spPr>
        <a:xfrm flipH="1">
          <a:off x="2447925" y="2733675"/>
          <a:ext cx="1857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43</xdr:row>
      <xdr:rowOff>66675</xdr:rowOff>
    </xdr:from>
    <xdr:to>
      <xdr:col>10</xdr:col>
      <xdr:colOff>409575</xdr:colOff>
      <xdr:row>45</xdr:row>
      <xdr:rowOff>85725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05500" y="7077075"/>
          <a:ext cx="2038350" cy="3810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Be aware that the percentages change for blr type. </a:t>
          </a:r>
        </a:p>
      </xdr:txBody>
    </xdr:sp>
    <xdr:clientData/>
  </xdr:twoCellAnchor>
  <xdr:twoCellAnchor>
    <xdr:from>
      <xdr:col>9</xdr:col>
      <xdr:colOff>104775</xdr:colOff>
      <xdr:row>44</xdr:row>
      <xdr:rowOff>0</xdr:rowOff>
    </xdr:from>
    <xdr:to>
      <xdr:col>9</xdr:col>
      <xdr:colOff>790575</xdr:colOff>
      <xdr:row>44</xdr:row>
      <xdr:rowOff>47625</xdr:rowOff>
    </xdr:to>
    <xdr:sp>
      <xdr:nvSpPr>
        <xdr:cNvPr id="4" name="Line 5"/>
        <xdr:cNvSpPr>
          <a:spLocks/>
        </xdr:cNvSpPr>
      </xdr:nvSpPr>
      <xdr:spPr>
        <a:xfrm flipH="1" flipV="1">
          <a:off x="5019675" y="7191375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7"/>
  <sheetViews>
    <sheetView tabSelected="1" zoomScale="75" zoomScaleNormal="75" zoomScalePageLayoutView="0" workbookViewId="0" topLeftCell="A1">
      <selection activeCell="J6" sqref="J6"/>
    </sheetView>
  </sheetViews>
  <sheetFormatPr defaultColWidth="9.140625" defaultRowHeight="12.75"/>
  <cols>
    <col min="1" max="1" width="5.28125" style="0" customWidth="1"/>
    <col min="2" max="2" width="20.7109375" style="9" customWidth="1"/>
    <col min="3" max="5" width="9.140625" style="9" customWidth="1"/>
    <col min="6" max="8" width="4.140625" style="0" customWidth="1"/>
    <col min="9" max="9" width="7.8515625" style="0" customWidth="1"/>
    <col min="10" max="10" width="39.28125" style="0" customWidth="1"/>
    <col min="11" max="11" width="14.00390625" style="0" customWidth="1"/>
    <col min="12" max="12" width="21.57421875" style="0" customWidth="1"/>
    <col min="13" max="13" width="3.57421875" style="0" customWidth="1"/>
    <col min="14" max="14" width="9.7109375" style="0" customWidth="1"/>
    <col min="15" max="15" width="11.421875" style="0" customWidth="1"/>
    <col min="16" max="16" width="9.8515625" style="0" customWidth="1"/>
    <col min="17" max="17" width="5.8515625" style="0" bestFit="1" customWidth="1"/>
  </cols>
  <sheetData>
    <row r="3" spans="2:5" ht="12.75">
      <c r="B3" s="36" t="s">
        <v>48</v>
      </c>
      <c r="C3" s="37"/>
      <c r="D3" s="59"/>
      <c r="E3" s="66"/>
    </row>
    <row r="4" spans="2:5" ht="12.75">
      <c r="B4" s="36" t="s">
        <v>49</v>
      </c>
      <c r="C4" s="37"/>
      <c r="D4" s="59"/>
      <c r="E4" s="66"/>
    </row>
    <row r="5" spans="2:5" ht="12.75">
      <c r="B5" s="26" t="s">
        <v>46</v>
      </c>
      <c r="C5" s="2">
        <v>2017</v>
      </c>
      <c r="D5" s="60"/>
      <c r="E5" s="34"/>
    </row>
    <row r="6" spans="2:5" ht="12.75">
      <c r="B6" s="26" t="s">
        <v>47</v>
      </c>
      <c r="C6" s="2"/>
      <c r="D6" s="60"/>
      <c r="E6" s="34"/>
    </row>
    <row r="7" ht="12.75">
      <c r="E7" s="67"/>
    </row>
    <row r="8" ht="12.75">
      <c r="E8" s="67"/>
    </row>
    <row r="9" spans="2:17" ht="12.75">
      <c r="B9" s="51" t="s">
        <v>43</v>
      </c>
      <c r="C9" s="51"/>
      <c r="D9" s="43"/>
      <c r="E9" s="68"/>
      <c r="F9" s="1"/>
      <c r="G9" s="1"/>
      <c r="H9" s="1"/>
      <c r="I9" s="1"/>
      <c r="L9" s="1"/>
      <c r="M9" s="1"/>
      <c r="N9" s="1"/>
      <c r="O9" s="1"/>
      <c r="P9" s="1"/>
      <c r="Q9" s="1"/>
    </row>
    <row r="10" spans="2:17" ht="12.75">
      <c r="B10" s="26" t="s">
        <v>32</v>
      </c>
      <c r="C10" s="2">
        <v>46.11</v>
      </c>
      <c r="D10" s="60"/>
      <c r="E10" s="34"/>
      <c r="F10" s="1"/>
      <c r="G10" s="1"/>
      <c r="H10" s="1"/>
      <c r="I10" s="6"/>
      <c r="L10" s="1"/>
      <c r="M10" s="1"/>
      <c r="Q10" s="1"/>
    </row>
    <row r="11" spans="2:17" ht="12.75">
      <c r="B11" s="21" t="s">
        <v>4</v>
      </c>
      <c r="C11" s="2">
        <v>13234</v>
      </c>
      <c r="D11" s="60"/>
      <c r="E11" s="34"/>
      <c r="F11" s="1"/>
      <c r="G11" s="1"/>
      <c r="H11" s="1"/>
      <c r="I11" s="6"/>
      <c r="L11" s="1"/>
      <c r="M11" s="1"/>
      <c r="Q11" s="1"/>
    </row>
    <row r="12" spans="2:17" ht="12.75">
      <c r="B12" s="26" t="s">
        <v>44</v>
      </c>
      <c r="C12" s="2">
        <v>7.27</v>
      </c>
      <c r="D12" s="60"/>
      <c r="E12" s="34"/>
      <c r="F12" s="1"/>
      <c r="G12" s="1"/>
      <c r="H12" s="1"/>
      <c r="I12" s="53" t="s">
        <v>29</v>
      </c>
      <c r="J12" s="54"/>
      <c r="K12" s="54"/>
      <c r="L12" s="55"/>
      <c r="M12" s="1"/>
      <c r="Q12" s="1"/>
    </row>
    <row r="13" spans="2:17" ht="12.75">
      <c r="B13" s="16"/>
      <c r="C13" s="3"/>
      <c r="D13" s="3"/>
      <c r="E13" s="3"/>
      <c r="F13" s="1"/>
      <c r="G13" s="1"/>
      <c r="H13" s="1"/>
      <c r="I13" s="17" t="s">
        <v>23</v>
      </c>
      <c r="J13" s="22" t="s">
        <v>22</v>
      </c>
      <c r="K13" s="22" t="s">
        <v>21</v>
      </c>
      <c r="L13" s="23" t="s">
        <v>31</v>
      </c>
      <c r="M13" s="1"/>
      <c r="N13" s="1"/>
      <c r="O13" s="1"/>
      <c r="P13" s="1"/>
      <c r="Q13" s="1"/>
    </row>
    <row r="14" spans="2:17" ht="12.75">
      <c r="B14" s="16" t="s">
        <v>3</v>
      </c>
      <c r="C14" s="3">
        <f>C11*2000/1000000</f>
        <v>26.468</v>
      </c>
      <c r="D14" s="3"/>
      <c r="E14" s="3"/>
      <c r="F14" s="1"/>
      <c r="G14" s="1"/>
      <c r="H14" s="1"/>
      <c r="I14" s="18">
        <v>1</v>
      </c>
      <c r="J14" s="29" t="s">
        <v>10</v>
      </c>
      <c r="K14" s="30">
        <f>10*$C$12*$C$10</f>
        <v>3352.1969999999997</v>
      </c>
      <c r="L14" s="24" t="s">
        <v>26</v>
      </c>
      <c r="M14" s="1"/>
      <c r="N14" s="1"/>
      <c r="O14" s="1"/>
      <c r="P14" s="1"/>
      <c r="Q14" s="1"/>
    </row>
    <row r="15" spans="2:17" ht="12.75">
      <c r="B15" s="5" t="s">
        <v>0</v>
      </c>
      <c r="C15" s="4">
        <f>C10*C14</f>
        <v>1220.43948</v>
      </c>
      <c r="D15" s="4"/>
      <c r="E15" s="4"/>
      <c r="F15" s="1"/>
      <c r="G15" s="1"/>
      <c r="H15" s="1"/>
      <c r="I15" s="18">
        <v>2</v>
      </c>
      <c r="J15" s="29" t="s">
        <v>11</v>
      </c>
      <c r="K15" s="30">
        <f>7*$C$12*$C$10</f>
        <v>2346.5379</v>
      </c>
      <c r="L15" s="24" t="s">
        <v>27</v>
      </c>
      <c r="M15" s="1"/>
      <c r="N15" s="1"/>
      <c r="O15" s="1"/>
      <c r="P15" s="1"/>
      <c r="Q15" s="1"/>
    </row>
    <row r="16" spans="2:17" ht="12.75">
      <c r="B16" s="6"/>
      <c r="C16" s="6"/>
      <c r="D16" s="6"/>
      <c r="E16" s="6"/>
      <c r="F16" s="1"/>
      <c r="G16" s="1"/>
      <c r="H16" s="1"/>
      <c r="I16" s="18">
        <v>3</v>
      </c>
      <c r="J16" s="29" t="s">
        <v>12</v>
      </c>
      <c r="K16" s="30">
        <f>2*$C$12*$C$10</f>
        <v>670.4394</v>
      </c>
      <c r="L16" s="24" t="s">
        <v>28</v>
      </c>
      <c r="M16" s="1"/>
      <c r="N16" s="1"/>
      <c r="O16" s="1"/>
      <c r="P16" s="1"/>
      <c r="Q16" s="1"/>
    </row>
    <row r="17" spans="2:17" ht="12.75">
      <c r="B17" s="6"/>
      <c r="C17" s="6"/>
      <c r="D17" s="6"/>
      <c r="E17" s="6"/>
      <c r="F17" s="1"/>
      <c r="G17" s="1"/>
      <c r="H17" s="1"/>
      <c r="I17" s="18">
        <v>4</v>
      </c>
      <c r="J17" s="29" t="s">
        <v>13</v>
      </c>
      <c r="K17" s="30">
        <f>66*$C$10</f>
        <v>3043.2599999999998</v>
      </c>
      <c r="L17" s="24">
        <v>66</v>
      </c>
      <c r="M17" s="1"/>
      <c r="N17" s="1"/>
      <c r="O17" s="1"/>
      <c r="P17" s="1"/>
      <c r="Q17" s="1"/>
    </row>
    <row r="18" spans="2:17" ht="12.75">
      <c r="B18" s="6"/>
      <c r="C18" s="6"/>
      <c r="D18" s="6"/>
      <c r="E18" s="6"/>
      <c r="F18" s="1"/>
      <c r="G18" s="1"/>
      <c r="H18" s="1"/>
      <c r="I18" s="18">
        <v>5</v>
      </c>
      <c r="J18" s="29" t="s">
        <v>14</v>
      </c>
      <c r="K18" s="30">
        <f>17*$C$10</f>
        <v>783.87</v>
      </c>
      <c r="L18" s="24">
        <v>17</v>
      </c>
      <c r="M18" s="1"/>
      <c r="N18" s="1"/>
      <c r="O18" s="1"/>
      <c r="P18" s="1"/>
      <c r="Q18" s="1"/>
    </row>
    <row r="19" spans="2:13" ht="12.75">
      <c r="B19" s="6"/>
      <c r="C19" s="6"/>
      <c r="D19" s="6"/>
      <c r="E19" s="6"/>
      <c r="F19" s="1"/>
      <c r="G19" s="1"/>
      <c r="H19" s="1"/>
      <c r="I19" s="18">
        <v>6</v>
      </c>
      <c r="J19" s="29" t="s">
        <v>15</v>
      </c>
      <c r="K19" s="30">
        <f>12*$C$10</f>
        <v>553.3199999999999</v>
      </c>
      <c r="L19" s="24">
        <v>12</v>
      </c>
      <c r="M19" s="1"/>
    </row>
    <row r="20" spans="2:13" ht="12.75">
      <c r="B20" s="6"/>
      <c r="C20" s="6"/>
      <c r="D20" s="6"/>
      <c r="E20" s="6"/>
      <c r="F20" s="1"/>
      <c r="G20" s="1"/>
      <c r="H20" s="1"/>
      <c r="I20" s="18">
        <v>7</v>
      </c>
      <c r="J20" s="29" t="s">
        <v>16</v>
      </c>
      <c r="K20" s="30">
        <f>16*$C$10</f>
        <v>737.76</v>
      </c>
      <c r="L20" s="24">
        <v>16</v>
      </c>
      <c r="M20" s="1"/>
    </row>
    <row r="21" spans="2:13" ht="12.75">
      <c r="B21" s="31" t="s">
        <v>45</v>
      </c>
      <c r="C21" s="14">
        <v>5</v>
      </c>
      <c r="D21" s="61"/>
      <c r="E21" s="65"/>
      <c r="F21" s="1"/>
      <c r="G21" s="1"/>
      <c r="H21" s="1"/>
      <c r="I21" s="18">
        <v>8</v>
      </c>
      <c r="J21" s="29" t="s">
        <v>17</v>
      </c>
      <c r="K21" s="30">
        <f>9*$C$10</f>
        <v>414.99</v>
      </c>
      <c r="L21" s="24">
        <v>9</v>
      </c>
      <c r="M21" s="1"/>
    </row>
    <row r="22" spans="2:13" ht="12.75">
      <c r="B22" s="6"/>
      <c r="C22" s="6"/>
      <c r="D22" s="6"/>
      <c r="E22" s="6"/>
      <c r="F22" s="1"/>
      <c r="G22" s="1"/>
      <c r="H22" s="1"/>
      <c r="I22" s="18">
        <v>9</v>
      </c>
      <c r="J22" s="29" t="s">
        <v>18</v>
      </c>
      <c r="K22" s="30">
        <f>15*$C$10</f>
        <v>691.65</v>
      </c>
      <c r="L22" s="24">
        <v>15</v>
      </c>
      <c r="M22" s="1"/>
    </row>
    <row r="23" spans="9:13" ht="12.75">
      <c r="I23" s="18">
        <v>10</v>
      </c>
      <c r="J23" s="29" t="s">
        <v>19</v>
      </c>
      <c r="K23" s="30">
        <f>11*$C$10</f>
        <v>507.21</v>
      </c>
      <c r="L23" s="24">
        <v>11</v>
      </c>
      <c r="M23" s="1"/>
    </row>
    <row r="24" spans="2:13" ht="12.75">
      <c r="B24" s="27" t="s">
        <v>34</v>
      </c>
      <c r="C24" s="27"/>
      <c r="D24" s="27" t="s">
        <v>9</v>
      </c>
      <c r="E24" s="27"/>
      <c r="I24" s="18">
        <v>11</v>
      </c>
      <c r="J24" s="29" t="s">
        <v>20</v>
      </c>
      <c r="K24" s="30">
        <f>15*$C$10</f>
        <v>691.65</v>
      </c>
      <c r="L24" s="24">
        <v>15</v>
      </c>
      <c r="M24" s="1"/>
    </row>
    <row r="25" spans="2:15" ht="12.75">
      <c r="B25" s="28" t="s">
        <v>42</v>
      </c>
      <c r="C25" s="28" t="s">
        <v>33</v>
      </c>
      <c r="D25" s="28" t="s">
        <v>35</v>
      </c>
      <c r="E25" s="63"/>
      <c r="I25" s="19">
        <v>12</v>
      </c>
      <c r="J25" s="32" t="s">
        <v>24</v>
      </c>
      <c r="K25" s="33">
        <f>17*$C$10</f>
        <v>783.87</v>
      </c>
      <c r="L25" s="25">
        <v>17</v>
      </c>
      <c r="M25" s="1"/>
      <c r="N25" s="40"/>
      <c r="O25" s="40"/>
    </row>
    <row r="26" spans="2:15" ht="12.75">
      <c r="B26" s="35" t="s">
        <v>30</v>
      </c>
      <c r="C26" s="35">
        <v>0</v>
      </c>
      <c r="D26" s="27">
        <f>IF($B$26="Y",$C$28*(1-$C$26/100),$C$28)</f>
        <v>0.391935</v>
      </c>
      <c r="E26" s="27"/>
      <c r="M26" s="1"/>
      <c r="N26" s="34"/>
      <c r="O26" s="38"/>
    </row>
    <row r="27" spans="13:17" ht="12.75">
      <c r="M27" s="1"/>
      <c r="N27" s="34"/>
      <c r="O27" s="39"/>
      <c r="P27" s="39"/>
      <c r="Q27" s="1"/>
    </row>
    <row r="28" spans="2:17" ht="12.75">
      <c r="B28" s="10" t="s">
        <v>40</v>
      </c>
      <c r="C28" s="52">
        <f>VLOOKUP($C$21,$I$14:$L$25,3,FALSE)/2000</f>
        <v>0.391935</v>
      </c>
      <c r="D28" s="44"/>
      <c r="E28" s="44"/>
      <c r="F28" s="1"/>
      <c r="G28" s="1"/>
      <c r="H28" s="1"/>
      <c r="I28" s="1"/>
      <c r="M28" s="34"/>
      <c r="N28" s="34"/>
      <c r="O28" s="39"/>
      <c r="P28" s="39"/>
      <c r="Q28" s="1"/>
    </row>
    <row r="29" spans="2:17" ht="12.75">
      <c r="B29" s="10" t="s">
        <v>41</v>
      </c>
      <c r="C29" s="52"/>
      <c r="D29" s="44"/>
      <c r="E29" s="44"/>
      <c r="F29" s="1"/>
      <c r="G29" s="1"/>
      <c r="H29" s="1"/>
      <c r="I29" s="1"/>
      <c r="M29" s="12"/>
      <c r="N29" s="34"/>
      <c r="O29" s="39"/>
      <c r="P29" s="39"/>
      <c r="Q29" s="1"/>
    </row>
    <row r="30" spans="2:17" ht="12.75">
      <c r="B30" s="6"/>
      <c r="C30" s="6"/>
      <c r="D30" s="6"/>
      <c r="E30" s="6"/>
      <c r="F30" s="1"/>
      <c r="G30" s="1"/>
      <c r="H30" s="1"/>
      <c r="I30" s="1"/>
      <c r="M30" s="13"/>
      <c r="N30" s="34"/>
      <c r="O30" s="34"/>
      <c r="P30" s="1"/>
      <c r="Q30" s="1"/>
    </row>
    <row r="31" spans="2:17" ht="12.75">
      <c r="B31" s="6"/>
      <c r="C31" s="6"/>
      <c r="D31" s="6"/>
      <c r="E31" s="6"/>
      <c r="F31" s="1"/>
      <c r="G31" s="1"/>
      <c r="H31" s="1"/>
      <c r="I31" s="1"/>
      <c r="J31" s="1"/>
      <c r="K31" s="1"/>
      <c r="L31" s="1"/>
      <c r="M31" s="11"/>
      <c r="N31" s="34"/>
      <c r="O31" s="34"/>
      <c r="P31" s="1"/>
      <c r="Q31" s="1"/>
    </row>
    <row r="32" spans="2:17" ht="12.75">
      <c r="B32" s="20" t="s">
        <v>6</v>
      </c>
      <c r="C32" s="14">
        <v>3</v>
      </c>
      <c r="D32" s="61"/>
      <c r="E32" s="65"/>
      <c r="F32" s="1"/>
      <c r="G32" s="1"/>
      <c r="H32" s="1"/>
      <c r="I32" s="3"/>
      <c r="J32" s="56" t="s">
        <v>5</v>
      </c>
      <c r="K32" s="57"/>
      <c r="L32" s="58"/>
      <c r="M32" s="11"/>
      <c r="N32" s="1"/>
      <c r="O32" s="1"/>
      <c r="P32" s="1"/>
      <c r="Q32" s="1"/>
    </row>
    <row r="33" spans="2:17" ht="12.75">
      <c r="B33" s="20" t="s">
        <v>1</v>
      </c>
      <c r="C33" s="7">
        <v>0.83</v>
      </c>
      <c r="D33" s="62"/>
      <c r="E33" s="64"/>
      <c r="F33" s="1"/>
      <c r="G33" s="1"/>
      <c r="H33" s="1"/>
      <c r="I33" s="1"/>
      <c r="J33" s="17" t="s">
        <v>37</v>
      </c>
      <c r="K33" s="45" t="s">
        <v>7</v>
      </c>
      <c r="L33" s="46"/>
      <c r="M33" s="11"/>
      <c r="N33" s="1"/>
      <c r="O33" s="1"/>
      <c r="P33" s="1"/>
      <c r="Q33" s="1"/>
    </row>
    <row r="34" spans="2:12" ht="12.75">
      <c r="B34" s="6" t="s">
        <v>2</v>
      </c>
      <c r="C34" s="6">
        <f>IF(AND(C32=1,C33&gt;0.4),(0.1*C33)-0.03,IF(AND(C32=1,C33&lt;=0.4),0.01,IF(C32=2,0.02,IF(C32=3,0.04,"Code Error"))))</f>
        <v>0.04</v>
      </c>
      <c r="D34" s="6"/>
      <c r="E34" s="6"/>
      <c r="F34" s="1"/>
      <c r="G34" s="1"/>
      <c r="H34" s="1"/>
      <c r="I34" s="1"/>
      <c r="J34" s="18" t="s">
        <v>38</v>
      </c>
      <c r="K34" s="47">
        <v>1</v>
      </c>
      <c r="L34" s="48"/>
    </row>
    <row r="35" spans="2:12" ht="12.75">
      <c r="B35" s="10" t="s">
        <v>25</v>
      </c>
      <c r="C35" s="8">
        <f>C34*C15/2000</f>
        <v>0.0244087896</v>
      </c>
      <c r="D35" s="8"/>
      <c r="E35" s="8"/>
      <c r="F35" s="15"/>
      <c r="G35" s="64"/>
      <c r="H35" s="64"/>
      <c r="J35" s="18" t="s">
        <v>39</v>
      </c>
      <c r="K35" s="47">
        <v>2</v>
      </c>
      <c r="L35" s="48"/>
    </row>
    <row r="36" spans="6:12" ht="12.75">
      <c r="F36" s="8"/>
      <c r="G36" s="8"/>
      <c r="H36" s="8"/>
      <c r="J36" s="19" t="s">
        <v>8</v>
      </c>
      <c r="K36" s="49">
        <v>3</v>
      </c>
      <c r="L36" s="50"/>
    </row>
    <row r="37" spans="6:8" ht="12.75">
      <c r="F37" s="3"/>
      <c r="G37" s="3"/>
      <c r="H37" s="3"/>
    </row>
    <row r="40" spans="2:5" ht="12.75">
      <c r="B40" s="69" t="s">
        <v>55</v>
      </c>
      <c r="C40" s="69"/>
      <c r="D40" s="69"/>
      <c r="E40" s="69"/>
    </row>
    <row r="41" spans="2:8" ht="13.5" thickBot="1">
      <c r="B41" s="74"/>
      <c r="C41" s="74"/>
      <c r="D41" s="74"/>
      <c r="E41" s="74"/>
      <c r="F41" s="1"/>
      <c r="G41" s="1"/>
      <c r="H41" s="1"/>
    </row>
    <row r="42" spans="2:5" ht="14.25" thickBot="1" thickTop="1">
      <c r="B42" s="73" t="s">
        <v>50</v>
      </c>
      <c r="C42" s="71">
        <f>$D$26</f>
        <v>0.391935</v>
      </c>
      <c r="D42" s="42" t="s">
        <v>54</v>
      </c>
      <c r="E42" s="42"/>
    </row>
    <row r="43" spans="2:7" ht="14.25" thickBot="1" thickTop="1">
      <c r="B43" s="73" t="s">
        <v>53</v>
      </c>
      <c r="C43" s="71">
        <f>$C$35</f>
        <v>0.0244087896</v>
      </c>
      <c r="D43" s="42" t="s">
        <v>54</v>
      </c>
      <c r="E43" s="42"/>
      <c r="F43" s="1"/>
      <c r="G43" s="1"/>
    </row>
    <row r="44" spans="2:9" ht="14.25" thickBot="1" thickTop="1">
      <c r="B44" s="73"/>
      <c r="C44" s="70"/>
      <c r="D44" s="42"/>
      <c r="E44" s="42"/>
      <c r="G44" s="27"/>
      <c r="H44" s="27" t="s">
        <v>36</v>
      </c>
      <c r="I44" s="27"/>
    </row>
    <row r="45" spans="2:9" ht="14.25" thickBot="1" thickTop="1">
      <c r="B45" s="73" t="s">
        <v>51</v>
      </c>
      <c r="C45" s="72">
        <f>($D$26*$H$45/100)</f>
        <v>0.28611255</v>
      </c>
      <c r="D45" s="41" t="s">
        <v>54</v>
      </c>
      <c r="E45" s="41"/>
      <c r="G45" s="60"/>
      <c r="H45" s="2">
        <v>73</v>
      </c>
      <c r="I45" s="60"/>
    </row>
    <row r="46" spans="2:9" ht="14.25" thickBot="1" thickTop="1">
      <c r="B46" s="73" t="s">
        <v>52</v>
      </c>
      <c r="C46" s="72">
        <f>($D$26*$H$46/100)</f>
        <v>0.1019031</v>
      </c>
      <c r="D46" s="41" t="s">
        <v>54</v>
      </c>
      <c r="E46" s="41"/>
      <c r="G46" s="60"/>
      <c r="H46" s="2">
        <v>26</v>
      </c>
      <c r="I46" s="60"/>
    </row>
    <row r="47" spans="1:8" ht="13.5" thickTop="1">
      <c r="A47" s="1"/>
      <c r="B47" s="1"/>
      <c r="C47" s="1"/>
      <c r="D47" s="1"/>
      <c r="E47" s="1"/>
      <c r="F47" s="1"/>
      <c r="G47" s="1"/>
      <c r="H47" s="1"/>
    </row>
  </sheetData>
  <sheetProtection/>
  <mergeCells count="9">
    <mergeCell ref="K34:L34"/>
    <mergeCell ref="K35:L35"/>
    <mergeCell ref="K36:L36"/>
    <mergeCell ref="B40:E40"/>
    <mergeCell ref="K33:L33"/>
    <mergeCell ref="B9:C9"/>
    <mergeCell ref="C28:C29"/>
    <mergeCell ref="J32:L32"/>
    <mergeCell ref="I12:L12"/>
  </mergeCells>
  <printOptions horizontalCentered="1" verticalCentered="1"/>
  <pageMargins left="0.5" right="0.5" top="1" bottom="1" header="0.5" footer="0.5"/>
  <pageSetup fitToHeight="1" fitToWidth="1" horizontalDpi="600" verticalDpi="600" orientation="landscape" scale="92" r:id="rId2"/>
  <headerFooter alignWithMargins="0">
    <oddHeader>&amp;C&amp;F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WilbanMC</dc:creator>
  <cp:keywords/>
  <dc:description/>
  <cp:lastModifiedBy>Wilbanks, M. Chad</cp:lastModifiedBy>
  <cp:lastPrinted>2006-11-28T14:13:21Z</cp:lastPrinted>
  <dcterms:created xsi:type="dcterms:W3CDTF">2006-02-28T15:52:18Z</dcterms:created>
  <dcterms:modified xsi:type="dcterms:W3CDTF">2018-01-08T17:20:34Z</dcterms:modified>
  <cp:category/>
  <cp:version/>
  <cp:contentType/>
  <cp:contentStatus/>
</cp:coreProperties>
</file>